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ol" sheetId="1" r:id="rId4"/>
    <sheet state="visible" name="Inputs" sheetId="2" r:id="rId5"/>
    <sheet state="hidden" name="GF and MCI" sheetId="3" r:id="rId6"/>
  </sheets>
  <definedNames/>
  <calcPr/>
  <extLst>
    <ext uri="GoogleSheetsCustomDataVersion2">
      <go:sheetsCustomData xmlns:go="http://customooxmlschemas.google.com/" r:id="rId7" roundtripDataChecksum="1DL6YfOHmoPZ3H/Xhi28CRu+QoYCcsW2crClM2iA+mc="/>
    </ext>
  </extLst>
</workbook>
</file>

<file path=xl/sharedStrings.xml><?xml version="1.0" encoding="utf-8"?>
<sst xmlns="http://schemas.openxmlformats.org/spreadsheetml/2006/main" count="81" uniqueCount="69">
  <si>
    <t>3-Year Operating Fund Scenario Tool</t>
  </si>
  <si>
    <t>2023/24</t>
  </si>
  <si>
    <t>2024/25</t>
  </si>
  <si>
    <t>2025/26</t>
  </si>
  <si>
    <t>2026/27</t>
  </si>
  <si>
    <t>ENROLLMENT</t>
  </si>
  <si>
    <t>Resident Enrollment Change</t>
  </si>
  <si>
    <t>Resident FTES</t>
  </si>
  <si>
    <t>Non-Resident Enrollment Change</t>
  </si>
  <si>
    <t>TOTAL ENROLLMENT</t>
  </si>
  <si>
    <t>Change Over Prior Year</t>
  </si>
  <si>
    <t>SOURCES</t>
  </si>
  <si>
    <t>CSU General Fund Increase per Compact</t>
  </si>
  <si>
    <t>CSU General Fund Increase - Enrollment Growth</t>
  </si>
  <si>
    <t>SJSU General Fund Increase - Enrollment Growth</t>
  </si>
  <si>
    <t>Assumes CSU MCI increases 3.0%/year</t>
  </si>
  <si>
    <t>CSU General Fund Increase - Non-Enrollment Growth</t>
  </si>
  <si>
    <t>SJSU General Fund Increase - Non-Enrollment Growth</t>
  </si>
  <si>
    <t>General Fund</t>
  </si>
  <si>
    <t>Tuition Rate Change</t>
  </si>
  <si>
    <t>Tuition Fee, Avg per FTES</t>
  </si>
  <si>
    <t>Tuition Fee Revenue</t>
  </si>
  <si>
    <t>Non-Resident Tuition Fee, Avg per FTES</t>
  </si>
  <si>
    <t>Non-Resident Tuition Fee Revenue</t>
  </si>
  <si>
    <t>Tuition Fees</t>
  </si>
  <si>
    <t>Other Revenue Adjustments</t>
  </si>
  <si>
    <t>Compensation Allocation from C.O.  (not yet distributed in 23/24)</t>
  </si>
  <si>
    <t>Estimate only</t>
  </si>
  <si>
    <t>Other Additions</t>
  </si>
  <si>
    <t>Other Sources</t>
  </si>
  <si>
    <t>Includes WS Reimbursement</t>
  </si>
  <si>
    <t>TOTAL SOURCES</t>
  </si>
  <si>
    <t>USES</t>
  </si>
  <si>
    <t>Salaries Change</t>
  </si>
  <si>
    <t>2% in 23/24 is implied in the Compact Funding</t>
  </si>
  <si>
    <t>Salaries &amp; Benefits</t>
  </si>
  <si>
    <t>Enrollment Support to Academic Affairs</t>
  </si>
  <si>
    <t>$5100/FTES plus benefits</t>
  </si>
  <si>
    <t>Existing Financial Aid and Work Study</t>
  </si>
  <si>
    <t>Financial Aid (1/3 Tuition Rate Incr)</t>
  </si>
  <si>
    <t>Other Financial Adjustments</t>
  </si>
  <si>
    <t>Reductions</t>
  </si>
  <si>
    <t>Other Reductions</t>
  </si>
  <si>
    <t>Operating Expenses &amp; Equipment</t>
  </si>
  <si>
    <t>Includes RSCA $2M in S&amp;B, OE&amp;E</t>
  </si>
  <si>
    <t>TOTAL USES</t>
  </si>
  <si>
    <t>NET SOURCES (USES)</t>
  </si>
  <si>
    <t>Operating Fund Scenario Inputs</t>
  </si>
  <si>
    <t>Resident Enrollment</t>
  </si>
  <si>
    <t>Non-Resident Enrollment</t>
  </si>
  <si>
    <t>Enrollment Growth and General Fund</t>
  </si>
  <si>
    <t>CSU MARGINAL COST OF INSTRUCTION</t>
  </si>
  <si>
    <t>Change in Marginal Cost of Instruction</t>
  </si>
  <si>
    <t>CSU Marginal Cost of Instruction per FTES</t>
  </si>
  <si>
    <t>CSU Avg Net Tuition Revenue</t>
  </si>
  <si>
    <t>CSU General Fund per FTES</t>
  </si>
  <si>
    <t>CSU 1% FTES Enrollment Growth per Compact</t>
  </si>
  <si>
    <t>Tuition from Enrollment Growth</t>
  </si>
  <si>
    <t>General Fund for Enrollment Growth</t>
  </si>
  <si>
    <t>Total Marginal Cost for Enrollment Growth</t>
  </si>
  <si>
    <t>SJSU MARGINAL COST OF INSTRUCTION</t>
  </si>
  <si>
    <t>SJSU Avg Net Tuition Revenue</t>
  </si>
  <si>
    <t>SJSU General Fund per FTES</t>
  </si>
  <si>
    <t>CSU GENERAL FUND ALLOCATION</t>
  </si>
  <si>
    <t>CSU General Fund Change</t>
  </si>
  <si>
    <t>CSU General Fund Growth</t>
  </si>
  <si>
    <t>CSU General Fund</t>
  </si>
  <si>
    <t>CSU General Fund Growth After Enrollment Growth</t>
  </si>
  <si>
    <t>CSU General Fund Change After Enrollment Growth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</si>
</sst>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%"/>
    <numFmt numFmtId="165" formatCode="_(* #,##0_);_(* \(#,##0\);_(* &quot;-&quot;??_);_(@_)"/>
    <numFmt numFmtId="166" formatCode="&quot;$&quot;#,##0.0"/>
    <numFmt numFmtId="167" formatCode="&quot;$&quot;#,##0"/>
    <numFmt numFmtId="168" formatCode="&quot;$&quot;#,##0.00"/>
    <numFmt numFmtId="169" formatCode="&quot;$&quot;#,##0.0_);\(&quot;$&quot;#,##0.0\)"/>
  </numFmts>
  <fonts count="16">
    <font>
      <sz val="11.0"/>
      <color theme="1"/>
      <name val="Calibri"/>
      <scheme val="minor"/>
    </font>
    <font>
      <sz val="11.0"/>
      <color theme="1"/>
      <name val="Nunito"/>
    </font>
    <font>
      <i/>
      <sz val="10.0"/>
      <color theme="4"/>
      <name val="Nunito"/>
    </font>
    <font>
      <b/>
      <i/>
      <sz val="14.0"/>
      <color theme="1"/>
      <name val="Nunito"/>
    </font>
    <font>
      <i/>
      <u/>
      <sz val="11.0"/>
      <color theme="1"/>
      <name val="Nunito"/>
    </font>
    <font>
      <b/>
      <i/>
      <u/>
      <sz val="14.0"/>
      <color theme="1"/>
      <name val="Nunito"/>
    </font>
    <font>
      <b/>
      <i/>
      <u/>
      <sz val="11.0"/>
      <color theme="1"/>
      <name val="Nunito"/>
    </font>
    <font>
      <b/>
      <u/>
      <sz val="11.0"/>
      <color theme="1"/>
      <name val="Nunito"/>
    </font>
    <font>
      <b/>
      <sz val="10.0"/>
      <color theme="1"/>
      <name val="Nunito"/>
    </font>
    <font>
      <sz val="10.0"/>
      <color theme="1"/>
      <name val="Nunito"/>
    </font>
    <font>
      <i/>
      <sz val="10.0"/>
      <color theme="1"/>
      <name val="Nunito"/>
    </font>
    <font>
      <sz val="4.0"/>
      <color theme="1"/>
      <name val="Nunito"/>
    </font>
    <font>
      <i/>
      <sz val="10.0"/>
      <color rgb="FF5B9BD5"/>
      <name val="Nunito"/>
    </font>
    <font>
      <b/>
      <i/>
      <sz val="11.0"/>
      <color theme="1"/>
      <name val="Nunito"/>
    </font>
    <font>
      <sz val="11.0"/>
      <color theme="1"/>
      <name val="Calibri"/>
    </font>
    <font>
      <b/>
      <sz val="4.0"/>
      <color theme="1"/>
      <name val="Nunito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</fills>
  <borders count="19">
    <border/>
    <border>
      <left/>
      <right/>
      <top/>
      <bottom/>
    </border>
    <border>
      <left style="medium">
        <color rgb="FFFFFFFF"/>
      </left>
      <right/>
      <top style="medium">
        <color rgb="FFFFFFFF"/>
      </top>
      <bottom style="medium">
        <color rgb="FFFFFFFF"/>
      </bottom>
    </border>
    <border>
      <left/>
      <right/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/>
    </border>
    <border>
      <right/>
      <top/>
      <bottom/>
    </border>
    <border>
      <left/>
      <right/>
      <top style="thin">
        <color rgb="FF000000"/>
      </top>
      <bottom/>
    </border>
    <border>
      <lef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bottom/>
    </border>
    <border>
      <left/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top/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1" fillId="2" fontId="2" numFmtId="0" xfId="0" applyBorder="1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2" fillId="3" fontId="8" numFmtId="0" xfId="0" applyBorder="1" applyFill="1" applyFont="1"/>
    <xf borderId="3" fillId="3" fontId="8" numFmtId="0" xfId="0" applyBorder="1" applyFont="1"/>
    <xf borderId="3" fillId="3" fontId="8" numFmtId="0" xfId="0" applyAlignment="1" applyBorder="1" applyFont="1">
      <alignment horizontal="right"/>
    </xf>
    <xf borderId="0" fillId="0" fontId="9" numFmtId="0" xfId="0" applyFont="1"/>
    <xf borderId="0" fillId="0" fontId="9" numFmtId="0" xfId="0" applyAlignment="1" applyFont="1">
      <alignment horizontal="right"/>
    </xf>
    <xf borderId="4" fillId="4" fontId="9" numFmtId="164" xfId="0" applyAlignment="1" applyBorder="1" applyFill="1" applyFont="1" applyNumberFormat="1">
      <alignment horizontal="right" readingOrder="0"/>
    </xf>
    <xf borderId="2" fillId="4" fontId="9" numFmtId="164" xfId="0" applyAlignment="1" applyBorder="1" applyFont="1" applyNumberFormat="1">
      <alignment horizontal="right" readingOrder="0"/>
    </xf>
    <xf borderId="0" fillId="0" fontId="9" numFmtId="165" xfId="0" applyAlignment="1" applyFont="1" applyNumberFormat="1">
      <alignment horizontal="right"/>
    </xf>
    <xf borderId="0" fillId="0" fontId="8" numFmtId="0" xfId="0" applyFont="1"/>
    <xf borderId="5" fillId="2" fontId="8" numFmtId="0" xfId="0" applyBorder="1" applyFont="1"/>
    <xf borderId="5" fillId="2" fontId="8" numFmtId="165" xfId="0" applyAlignment="1" applyBorder="1" applyFont="1" applyNumberFormat="1">
      <alignment horizontal="right"/>
    </xf>
    <xf borderId="1" fillId="2" fontId="10" numFmtId="0" xfId="0" applyAlignment="1" applyBorder="1" applyFont="1">
      <alignment horizontal="right"/>
    </xf>
    <xf borderId="1" fillId="2" fontId="10" numFmtId="165" xfId="0" applyAlignment="1" applyBorder="1" applyFont="1" applyNumberFormat="1">
      <alignment horizontal="right"/>
    </xf>
    <xf borderId="1" fillId="2" fontId="11" numFmtId="0" xfId="0" applyBorder="1" applyFont="1"/>
    <xf borderId="6" fillId="2" fontId="9" numFmtId="164" xfId="0" applyAlignment="1" applyBorder="1" applyFont="1" applyNumberFormat="1">
      <alignment horizontal="right"/>
    </xf>
    <xf borderId="0" fillId="2" fontId="9" numFmtId="164" xfId="0" applyAlignment="1" applyFont="1" applyNumberFormat="1">
      <alignment horizontal="right"/>
    </xf>
    <xf borderId="7" fillId="2" fontId="1" numFmtId="0" xfId="0" applyBorder="1" applyFont="1"/>
    <xf borderId="0" fillId="0" fontId="9" numFmtId="166" xfId="0" applyAlignment="1" applyFont="1" applyNumberFormat="1">
      <alignment horizontal="right"/>
    </xf>
    <xf borderId="8" fillId="2" fontId="9" numFmtId="0" xfId="0" applyBorder="1" applyFont="1"/>
    <xf borderId="8" fillId="2" fontId="9" numFmtId="167" xfId="0" applyBorder="1" applyFont="1" applyNumberFormat="1"/>
    <xf borderId="8" fillId="2" fontId="9" numFmtId="166" xfId="0" applyAlignment="1" applyBorder="1" applyFont="1" applyNumberFormat="1">
      <alignment horizontal="right"/>
    </xf>
    <xf borderId="0" fillId="0" fontId="11" numFmtId="0" xfId="0" applyFont="1"/>
    <xf borderId="0" fillId="0" fontId="11" numFmtId="0" xfId="0" applyAlignment="1" applyFont="1">
      <alignment horizontal="right"/>
    </xf>
    <xf borderId="4" fillId="4" fontId="9" numFmtId="164" xfId="0" applyAlignment="1" applyBorder="1" applyFont="1" applyNumberFormat="1">
      <alignment horizontal="right"/>
    </xf>
    <xf borderId="2" fillId="4" fontId="9" numFmtId="164" xfId="0" applyAlignment="1" applyBorder="1" applyFont="1" applyNumberFormat="1">
      <alignment horizontal="right"/>
    </xf>
    <xf borderId="0" fillId="0" fontId="9" numFmtId="167" xfId="0" applyAlignment="1" applyFont="1" applyNumberFormat="1">
      <alignment horizontal="right"/>
    </xf>
    <xf borderId="0" fillId="0" fontId="9" numFmtId="168" xfId="0" applyAlignment="1" applyFont="1" applyNumberFormat="1">
      <alignment horizontal="right"/>
    </xf>
    <xf borderId="9" fillId="5" fontId="9" numFmtId="0" xfId="0" applyBorder="1" applyFill="1" applyFont="1"/>
    <xf borderId="10" fillId="5" fontId="9" numFmtId="167" xfId="0" applyAlignment="1" applyBorder="1" applyFont="1" applyNumberFormat="1">
      <alignment readingOrder="0" shrinkToFit="0" wrapText="1"/>
    </xf>
    <xf borderId="10" fillId="5" fontId="9" numFmtId="166" xfId="0" applyAlignment="1" applyBorder="1" applyFont="1" applyNumberFormat="1">
      <alignment horizontal="right" readingOrder="0"/>
    </xf>
    <xf borderId="1" fillId="5" fontId="11" numFmtId="0" xfId="0" applyBorder="1" applyFont="1"/>
    <xf borderId="1" fillId="2" fontId="12" numFmtId="0" xfId="0" applyAlignment="1" applyBorder="1" applyFont="1">
      <alignment readingOrder="0" shrinkToFit="0" wrapText="1"/>
    </xf>
    <xf borderId="9" fillId="2" fontId="9" numFmtId="0" xfId="0" applyBorder="1" applyFont="1"/>
    <xf borderId="10" fillId="6" fontId="9" numFmtId="167" xfId="0" applyAlignment="1" applyBorder="1" applyFill="1" applyFont="1" applyNumberFormat="1">
      <alignment readingOrder="0"/>
    </xf>
    <xf borderId="10" fillId="6" fontId="9" numFmtId="166" xfId="0" applyAlignment="1" applyBorder="1" applyFont="1" applyNumberFormat="1">
      <alignment horizontal="right"/>
    </xf>
    <xf borderId="11" fillId="6" fontId="9" numFmtId="166" xfId="0" applyAlignment="1" applyBorder="1" applyFont="1" applyNumberFormat="1">
      <alignment horizontal="right"/>
    </xf>
    <xf borderId="1" fillId="2" fontId="9" numFmtId="0" xfId="0" applyBorder="1" applyFont="1"/>
    <xf borderId="12" fillId="2" fontId="9" numFmtId="167" xfId="0" applyBorder="1" applyFont="1" applyNumberFormat="1"/>
    <xf borderId="1" fillId="2" fontId="9" numFmtId="166" xfId="0" applyAlignment="1" applyBorder="1" applyFont="1" applyNumberFormat="1">
      <alignment horizontal="right"/>
    </xf>
    <xf borderId="5" fillId="2" fontId="8" numFmtId="166" xfId="0" applyAlignment="1" applyBorder="1" applyFont="1" applyNumberFormat="1">
      <alignment horizontal="right"/>
    </xf>
    <xf borderId="1" fillId="2" fontId="10" numFmtId="166" xfId="0" applyAlignment="1" applyBorder="1" applyFont="1" applyNumberFormat="1">
      <alignment horizontal="right"/>
    </xf>
    <xf borderId="2" fillId="3" fontId="8" numFmtId="0" xfId="0" applyAlignment="1" applyBorder="1" applyFont="1">
      <alignment horizontal="left"/>
    </xf>
    <xf borderId="1" fillId="2" fontId="9" numFmtId="167" xfId="0" applyBorder="1" applyFont="1" applyNumberFormat="1"/>
    <xf borderId="0" fillId="0" fontId="9" numFmtId="0" xfId="0" applyAlignment="1" applyFont="1">
      <alignment horizontal="left"/>
    </xf>
    <xf borderId="10" fillId="6" fontId="9" numFmtId="166" xfId="0" applyAlignment="1" applyBorder="1" applyFont="1" applyNumberFormat="1">
      <alignment horizontal="right" readingOrder="0"/>
    </xf>
    <xf borderId="5" fillId="7" fontId="8" numFmtId="167" xfId="0" applyAlignment="1" applyBorder="1" applyFill="1" applyFont="1" applyNumberFormat="1">
      <alignment horizontal="left"/>
    </xf>
    <xf borderId="5" fillId="7" fontId="8" numFmtId="167" xfId="0" applyAlignment="1" applyBorder="1" applyFont="1" applyNumberFormat="1">
      <alignment horizontal="right"/>
    </xf>
    <xf borderId="5" fillId="7" fontId="8" numFmtId="169" xfId="0" applyAlignment="1" applyBorder="1" applyFont="1" applyNumberFormat="1">
      <alignment horizontal="right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shrinkToFit="0" wrapText="1"/>
    </xf>
    <xf borderId="0" fillId="0" fontId="1" numFmtId="164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13" fillId="3" fontId="8" numFmtId="0" xfId="0" applyAlignment="1" applyBorder="1" applyFont="1">
      <alignment horizontal="right"/>
    </xf>
    <xf borderId="1" fillId="2" fontId="9" numFmtId="0" xfId="0" applyAlignment="1" applyBorder="1" applyFont="1">
      <alignment horizontal="left"/>
    </xf>
    <xf borderId="0" fillId="0" fontId="9" numFmtId="164" xfId="0" applyFont="1" applyNumberFormat="1"/>
    <xf borderId="0" fillId="0" fontId="9" numFmtId="167" xfId="0" applyFont="1" applyNumberFormat="1"/>
    <xf borderId="4" fillId="7" fontId="9" numFmtId="164" xfId="0" applyAlignment="1" applyBorder="1" applyFont="1" applyNumberFormat="1">
      <alignment horizontal="right"/>
    </xf>
    <xf borderId="14" fillId="2" fontId="9" numFmtId="0" xfId="0" applyBorder="1" applyFont="1"/>
    <xf borderId="15" fillId="0" fontId="9" numFmtId="167" xfId="0" applyBorder="1" applyFont="1" applyNumberFormat="1"/>
    <xf borderId="14" fillId="2" fontId="9" numFmtId="167" xfId="0" applyBorder="1" applyFont="1" applyNumberFormat="1"/>
    <xf borderId="16" fillId="2" fontId="8" numFmtId="0" xfId="0" applyBorder="1" applyFont="1"/>
    <xf borderId="17" fillId="0" fontId="8" numFmtId="167" xfId="0" applyBorder="1" applyFont="1" applyNumberFormat="1"/>
    <xf borderId="1" fillId="2" fontId="9" numFmtId="0" xfId="0" applyAlignment="1" applyBorder="1" applyFont="1">
      <alignment horizontal="right"/>
    </xf>
    <xf borderId="1" fillId="2" fontId="9" numFmtId="164" xfId="0" applyAlignment="1" applyBorder="1" applyFont="1" applyNumberFormat="1">
      <alignment horizontal="right"/>
    </xf>
    <xf borderId="0" fillId="0" fontId="9" numFmtId="166" xfId="0" applyFont="1" applyNumberFormat="1"/>
    <xf borderId="5" fillId="2" fontId="8" numFmtId="166" xfId="0" applyBorder="1" applyFont="1" applyNumberFormat="1"/>
    <xf borderId="1" fillId="2" fontId="15" numFmtId="0" xfId="0" applyBorder="1" applyFont="1"/>
    <xf borderId="1" fillId="2" fontId="15" numFmtId="0" xfId="0" applyAlignment="1" applyBorder="1" applyFont="1">
      <alignment horizontal="right"/>
    </xf>
    <xf borderId="15" fillId="0" fontId="9" numFmtId="0" xfId="0" applyBorder="1" applyFont="1"/>
    <xf borderId="15" fillId="0" fontId="9" numFmtId="166" xfId="0" applyBorder="1" applyFont="1" applyNumberFormat="1"/>
    <xf borderId="0" fillId="0" fontId="9" numFmtId="164" xfId="0" applyAlignment="1" applyFont="1" applyNumberFormat="1">
      <alignment horizontal="center"/>
    </xf>
    <xf borderId="18" fillId="0" fontId="8" numFmtId="164" xfId="0" applyAlignment="1" applyBorder="1" applyFont="1" applyNumberFormat="1">
      <alignment horizontal="left"/>
    </xf>
    <xf borderId="18" fillId="0" fontId="8" numFmtId="164" xfId="0" applyAlignment="1" applyBorder="1" applyFont="1" applyNumberFormat="1">
      <alignment horizontal="center"/>
    </xf>
    <xf borderId="18" fillId="0" fontId="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8600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7647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7647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 outlineLevelCol="1" outlineLevelRow="1"/>
  <cols>
    <col customWidth="1" min="1" max="1" width="2.71"/>
    <col customWidth="1" min="2" max="2" width="36.71"/>
    <col customWidth="1" min="3" max="3" width="18.29" outlineLevel="1"/>
    <col customWidth="1" min="4" max="6" width="18.29"/>
    <col customWidth="1" min="7" max="7" width="9.14"/>
    <col customWidth="1" min="8" max="8" width="35.14"/>
  </cols>
  <sheetData>
    <row r="1" ht="16.5" customHeight="1">
      <c r="A1" s="1"/>
      <c r="B1" s="1"/>
      <c r="C1" s="1"/>
      <c r="D1" s="1"/>
      <c r="E1" s="1"/>
      <c r="F1" s="1"/>
      <c r="G1" s="2"/>
      <c r="H1" s="3"/>
    </row>
    <row r="2" ht="16.5" customHeight="1">
      <c r="A2" s="1"/>
      <c r="B2" s="1"/>
      <c r="C2" s="1"/>
      <c r="D2" s="1"/>
      <c r="E2" s="1"/>
      <c r="F2" s="1"/>
      <c r="G2" s="2"/>
      <c r="H2" s="3"/>
    </row>
    <row r="3" ht="16.5" customHeight="1">
      <c r="A3" s="4"/>
      <c r="B3" s="4"/>
      <c r="C3" s="4"/>
      <c r="D3" s="4"/>
      <c r="E3" s="4"/>
      <c r="F3" s="4"/>
      <c r="G3" s="2"/>
      <c r="H3" s="3"/>
    </row>
    <row r="4" ht="16.5" customHeight="1">
      <c r="A4" s="4" t="s">
        <v>0</v>
      </c>
      <c r="G4" s="2"/>
      <c r="H4" s="3"/>
    </row>
    <row r="5" ht="16.5" customHeight="1">
      <c r="A5" s="1"/>
      <c r="B5" s="1"/>
      <c r="C5" s="1"/>
      <c r="D5" s="1"/>
      <c r="E5" s="1"/>
      <c r="F5" s="1"/>
      <c r="G5" s="2"/>
      <c r="H5" s="3"/>
    </row>
    <row r="6" ht="16.5" customHeight="1">
      <c r="A6" s="5"/>
      <c r="B6" s="6"/>
      <c r="C6" s="7" t="s">
        <v>1</v>
      </c>
      <c r="D6" s="8" t="s">
        <v>2</v>
      </c>
      <c r="E6" s="8" t="s">
        <v>3</v>
      </c>
      <c r="F6" s="8" t="s">
        <v>4</v>
      </c>
      <c r="G6" s="2"/>
      <c r="H6" s="3"/>
    </row>
    <row r="7" ht="16.5" customHeight="1">
      <c r="A7" s="9" t="s">
        <v>5</v>
      </c>
      <c r="B7" s="10"/>
      <c r="C7" s="11"/>
      <c r="D7" s="11"/>
      <c r="E7" s="11"/>
      <c r="F7" s="11"/>
      <c r="G7" s="2"/>
      <c r="H7" s="3"/>
    </row>
    <row r="8" ht="16.5" customHeight="1">
      <c r="A8" s="12" t="s">
        <v>6</v>
      </c>
      <c r="B8" s="12"/>
      <c r="C8" s="13"/>
      <c r="D8" s="14">
        <v>0.01</v>
      </c>
      <c r="E8" s="14">
        <v>0.01</v>
      </c>
      <c r="F8" s="15">
        <v>0.01</v>
      </c>
      <c r="G8" s="2"/>
      <c r="H8" s="3"/>
    </row>
    <row r="9" ht="16.5" customHeight="1">
      <c r="A9" s="12"/>
      <c r="B9" s="12" t="s">
        <v>7</v>
      </c>
      <c r="C9" s="16">
        <v>24130.0</v>
      </c>
      <c r="D9" s="16">
        <f t="shared" ref="D9:F9" si="1">ROUND(C9*(1+D8),0)</f>
        <v>24371</v>
      </c>
      <c r="E9" s="16">
        <f t="shared" si="1"/>
        <v>24615</v>
      </c>
      <c r="F9" s="16">
        <f t="shared" si="1"/>
        <v>24861</v>
      </c>
      <c r="G9" s="2"/>
      <c r="H9" s="3"/>
    </row>
    <row r="10" ht="16.5" customHeight="1">
      <c r="A10" s="12" t="s">
        <v>8</v>
      </c>
      <c r="B10" s="12"/>
      <c r="C10" s="13"/>
      <c r="D10" s="14">
        <v>0.01</v>
      </c>
      <c r="E10" s="14">
        <v>0.01</v>
      </c>
      <c r="F10" s="15">
        <v>0.01</v>
      </c>
      <c r="G10" s="2"/>
      <c r="H10" s="3"/>
    </row>
    <row r="11" ht="16.5" customHeight="1">
      <c r="A11" s="17"/>
      <c r="B11" s="12" t="s">
        <v>7</v>
      </c>
      <c r="C11" s="16">
        <v>2200.0</v>
      </c>
      <c r="D11" s="16">
        <f t="shared" ref="D11:F11" si="2">ROUND(C11*(1+D10),0)</f>
        <v>2222</v>
      </c>
      <c r="E11" s="16">
        <f t="shared" si="2"/>
        <v>2244</v>
      </c>
      <c r="F11" s="16">
        <f t="shared" si="2"/>
        <v>2266</v>
      </c>
      <c r="G11" s="2"/>
      <c r="H11" s="3"/>
    </row>
    <row r="12" ht="16.5" customHeight="1">
      <c r="A12" s="18" t="s">
        <v>9</v>
      </c>
      <c r="B12" s="18"/>
      <c r="C12" s="19">
        <f t="shared" ref="C12:F12" si="3">C11+C9</f>
        <v>26330</v>
      </c>
      <c r="D12" s="19">
        <f t="shared" si="3"/>
        <v>26593</v>
      </c>
      <c r="E12" s="19">
        <f t="shared" si="3"/>
        <v>26859</v>
      </c>
      <c r="F12" s="19">
        <f t="shared" si="3"/>
        <v>27127</v>
      </c>
      <c r="G12" s="2"/>
      <c r="H12" s="3"/>
    </row>
    <row r="13" ht="16.5" customHeight="1">
      <c r="A13" s="1"/>
      <c r="B13" s="20" t="s">
        <v>10</v>
      </c>
      <c r="C13" s="21">
        <f>239-200</f>
        <v>39</v>
      </c>
      <c r="D13" s="21">
        <f t="shared" ref="D13:F13" si="4">D12-C12</f>
        <v>263</v>
      </c>
      <c r="E13" s="21">
        <f t="shared" si="4"/>
        <v>266</v>
      </c>
      <c r="F13" s="21">
        <f t="shared" si="4"/>
        <v>268</v>
      </c>
      <c r="G13" s="2"/>
      <c r="H13" s="3"/>
    </row>
    <row r="14" ht="16.5" customHeight="1">
      <c r="A14" s="12"/>
      <c r="B14" s="12"/>
      <c r="C14" s="13"/>
      <c r="D14" s="13"/>
      <c r="E14" s="13"/>
      <c r="F14" s="13"/>
      <c r="G14" s="2"/>
      <c r="H14" s="3"/>
    </row>
    <row r="15" ht="16.5" customHeight="1">
      <c r="A15" s="9" t="s">
        <v>11</v>
      </c>
      <c r="B15" s="10"/>
      <c r="C15" s="11"/>
      <c r="D15" s="11"/>
      <c r="E15" s="11"/>
      <c r="F15" s="11"/>
      <c r="G15" s="22"/>
      <c r="H15" s="3"/>
    </row>
    <row r="16" ht="16.5" customHeight="1">
      <c r="A16" s="12" t="s">
        <v>12</v>
      </c>
      <c r="B16" s="12"/>
      <c r="C16" s="13"/>
      <c r="D16" s="23">
        <v>0.05</v>
      </c>
      <c r="E16" s="23">
        <v>0.05</v>
      </c>
      <c r="F16" s="23">
        <v>0.05</v>
      </c>
      <c r="G16" s="22"/>
      <c r="H16" s="3"/>
    </row>
    <row r="17" ht="16.5" hidden="1" customHeight="1" outlineLevel="1">
      <c r="A17" s="12" t="s">
        <v>13</v>
      </c>
      <c r="B17" s="12"/>
      <c r="C17" s="1"/>
      <c r="D17" s="24">
        <v>0.008</v>
      </c>
      <c r="E17" s="24">
        <v>0.008</v>
      </c>
      <c r="F17" s="24">
        <v>0.008</v>
      </c>
      <c r="G17" s="25"/>
      <c r="H17" s="3"/>
    </row>
    <row r="18" ht="16.5" customHeight="1" collapsed="1">
      <c r="A18" s="12" t="s">
        <v>14</v>
      </c>
      <c r="B18" s="12"/>
      <c r="C18" s="26"/>
      <c r="D18" s="26">
        <f>ROUND((D9-C9)*'GF and MCI'!C23/1000000,2)</f>
        <v>2.07</v>
      </c>
      <c r="E18" s="26">
        <f>ROUND((E9-D9)*'GF and MCI'!D23/1000000,2)</f>
        <v>2.11</v>
      </c>
      <c r="F18" s="26">
        <f>ROUND((F9-E9)*'GF and MCI'!E23/1000000,2)</f>
        <v>2.14</v>
      </c>
      <c r="G18" s="25"/>
      <c r="H18" s="3" t="s">
        <v>15</v>
      </c>
    </row>
    <row r="19" ht="16.5" hidden="1" customHeight="1" outlineLevel="1">
      <c r="A19" s="12" t="s">
        <v>16</v>
      </c>
      <c r="B19" s="12"/>
      <c r="C19" s="13"/>
      <c r="D19" s="24">
        <f t="shared" ref="D19:F19" si="5">D16-D17</f>
        <v>0.042</v>
      </c>
      <c r="E19" s="24">
        <f t="shared" si="5"/>
        <v>0.042</v>
      </c>
      <c r="F19" s="24">
        <f t="shared" si="5"/>
        <v>0.042</v>
      </c>
      <c r="G19" s="25"/>
      <c r="H19" s="3"/>
    </row>
    <row r="20" ht="16.5" customHeight="1" collapsed="1">
      <c r="A20" s="12" t="s">
        <v>17</v>
      </c>
      <c r="B20" s="12"/>
      <c r="C20" s="1"/>
      <c r="D20" s="26">
        <f t="shared" ref="D20:F20" si="6">ROUND(D19*C21,2)</f>
        <v>9.8</v>
      </c>
      <c r="E20" s="26">
        <f t="shared" si="6"/>
        <v>10.29</v>
      </c>
      <c r="F20" s="26">
        <f t="shared" si="6"/>
        <v>10.82</v>
      </c>
      <c r="G20" s="2"/>
      <c r="H20" s="3"/>
    </row>
    <row r="21" ht="16.5" customHeight="1">
      <c r="A21" s="27" t="s">
        <v>18</v>
      </c>
      <c r="B21" s="28"/>
      <c r="C21" s="29">
        <v>233.232</v>
      </c>
      <c r="D21" s="29">
        <f t="shared" ref="D21:F21" si="7">C21+D18+D20</f>
        <v>245.102</v>
      </c>
      <c r="E21" s="29">
        <f t="shared" si="7"/>
        <v>257.502</v>
      </c>
      <c r="F21" s="29">
        <f t="shared" si="7"/>
        <v>270.462</v>
      </c>
      <c r="G21" s="2"/>
      <c r="H21" s="3"/>
    </row>
    <row r="22" ht="16.5" customHeight="1">
      <c r="A22" s="30"/>
      <c r="B22" s="30"/>
      <c r="C22" s="31"/>
      <c r="D22" s="31"/>
      <c r="E22" s="31"/>
      <c r="F22" s="31"/>
      <c r="G22" s="22"/>
      <c r="H22" s="3"/>
    </row>
    <row r="23" ht="16.5" customHeight="1">
      <c r="A23" s="12" t="s">
        <v>19</v>
      </c>
      <c r="B23" s="1"/>
      <c r="C23" s="13"/>
      <c r="D23" s="14">
        <v>0.06</v>
      </c>
      <c r="E23" s="32">
        <v>0.06</v>
      </c>
      <c r="F23" s="33">
        <v>0.06</v>
      </c>
      <c r="G23" s="2"/>
      <c r="H23" s="3"/>
    </row>
    <row r="24" ht="16.5" hidden="1" customHeight="1" outlineLevel="1">
      <c r="A24" s="12" t="s">
        <v>20</v>
      </c>
      <c r="B24" s="1"/>
      <c r="C24" s="34">
        <v>6600.0</v>
      </c>
      <c r="D24" s="34">
        <f t="shared" ref="D24:F24" si="8">ROUND(C24*(1+D23),-1)</f>
        <v>7000</v>
      </c>
      <c r="E24" s="34">
        <f t="shared" si="8"/>
        <v>7420</v>
      </c>
      <c r="F24" s="34">
        <f t="shared" si="8"/>
        <v>7870</v>
      </c>
      <c r="G24" s="2"/>
      <c r="H24" s="3"/>
    </row>
    <row r="25" ht="16.5" customHeight="1" collapsed="1">
      <c r="A25" s="12" t="s">
        <v>21</v>
      </c>
      <c r="B25" s="12"/>
      <c r="C25" s="26">
        <v>173.778</v>
      </c>
      <c r="D25" s="26">
        <f t="shared" ref="D25:F25" si="9">ROUND(D24*(D12)/1000000,1)</f>
        <v>186.2</v>
      </c>
      <c r="E25" s="26">
        <f t="shared" si="9"/>
        <v>199.3</v>
      </c>
      <c r="F25" s="26">
        <f t="shared" si="9"/>
        <v>213.5</v>
      </c>
      <c r="G25" s="2"/>
      <c r="H25" s="3"/>
    </row>
    <row r="26" ht="16.5" hidden="1" customHeight="1" outlineLevel="1">
      <c r="A26" s="12" t="s">
        <v>22</v>
      </c>
      <c r="B26" s="1"/>
      <c r="C26" s="34">
        <v>10200.0</v>
      </c>
      <c r="D26" s="34">
        <f t="shared" ref="D26:F26" si="10">ROUND(C26*(1+D23),-1)</f>
        <v>10810</v>
      </c>
      <c r="E26" s="34">
        <f t="shared" si="10"/>
        <v>11460</v>
      </c>
      <c r="F26" s="34">
        <f t="shared" si="10"/>
        <v>12150</v>
      </c>
      <c r="G26" s="2"/>
      <c r="H26" s="3"/>
    </row>
    <row r="27" ht="16.5" customHeight="1" collapsed="1">
      <c r="A27" s="12" t="s">
        <v>23</v>
      </c>
      <c r="B27" s="12"/>
      <c r="C27" s="35">
        <v>22.44</v>
      </c>
      <c r="D27" s="26">
        <f t="shared" ref="D27:F27" si="11">ROUND(D26*(D11)/1000000,1)</f>
        <v>24</v>
      </c>
      <c r="E27" s="26">
        <f t="shared" si="11"/>
        <v>25.7</v>
      </c>
      <c r="F27" s="26">
        <f t="shared" si="11"/>
        <v>27.5</v>
      </c>
      <c r="G27" s="2"/>
      <c r="H27" s="3"/>
    </row>
    <row r="28" ht="16.5" customHeight="1">
      <c r="A28" s="27" t="s">
        <v>24</v>
      </c>
      <c r="B28" s="28"/>
      <c r="C28" s="29">
        <f t="shared" ref="C28:F28" si="12">C27+C25</f>
        <v>196.218</v>
      </c>
      <c r="D28" s="29">
        <f t="shared" si="12"/>
        <v>210.2</v>
      </c>
      <c r="E28" s="29">
        <f t="shared" si="12"/>
        <v>225</v>
      </c>
      <c r="F28" s="29">
        <f t="shared" si="12"/>
        <v>241</v>
      </c>
      <c r="G28" s="2"/>
      <c r="H28" s="3"/>
    </row>
    <row r="29" ht="16.5" customHeight="1">
      <c r="A29" s="12" t="s">
        <v>25</v>
      </c>
      <c r="B29" s="1"/>
      <c r="C29" s="13"/>
      <c r="D29" s="26"/>
      <c r="E29" s="26"/>
      <c r="F29" s="26"/>
      <c r="G29" s="22"/>
      <c r="H29" s="3"/>
    </row>
    <row r="30">
      <c r="A30" s="36"/>
      <c r="B30" s="37" t="s">
        <v>26</v>
      </c>
      <c r="C30" s="38">
        <v>7.4</v>
      </c>
      <c r="D30" s="38">
        <f t="shared" ref="D30:F30" si="13">C30</f>
        <v>7.4</v>
      </c>
      <c r="E30" s="38">
        <f t="shared" si="13"/>
        <v>7.4</v>
      </c>
      <c r="F30" s="38">
        <f t="shared" si="13"/>
        <v>7.4</v>
      </c>
      <c r="G30" s="39"/>
      <c r="H30" s="40" t="s">
        <v>27</v>
      </c>
    </row>
    <row r="31" ht="16.5" customHeight="1">
      <c r="A31" s="41"/>
      <c r="B31" s="42" t="s">
        <v>28</v>
      </c>
      <c r="C31" s="43">
        <v>0.0</v>
      </c>
      <c r="D31" s="43">
        <v>0.0</v>
      </c>
      <c r="E31" s="43">
        <v>0.0</v>
      </c>
      <c r="F31" s="44">
        <v>0.0</v>
      </c>
      <c r="G31" s="22"/>
      <c r="H31" s="3"/>
    </row>
    <row r="32" ht="16.5" customHeight="1">
      <c r="A32" s="45" t="s">
        <v>29</v>
      </c>
      <c r="B32" s="46"/>
      <c r="C32" s="47">
        <f>4.194+14.752357</f>
        <v>18.946357</v>
      </c>
      <c r="D32" s="47">
        <f t="shared" ref="D32:F32" si="14">C32</f>
        <v>18.946357</v>
      </c>
      <c r="E32" s="47">
        <f t="shared" si="14"/>
        <v>18.946357</v>
      </c>
      <c r="F32" s="47">
        <f t="shared" si="14"/>
        <v>18.946357</v>
      </c>
      <c r="G32" s="2"/>
      <c r="H32" s="3" t="s">
        <v>30</v>
      </c>
    </row>
    <row r="33" ht="16.5" customHeight="1">
      <c r="A33" s="18" t="s">
        <v>31</v>
      </c>
      <c r="B33" s="18"/>
      <c r="C33" s="48">
        <f t="shared" ref="C33:F33" si="15">C28+C21+C32+C30+C31</f>
        <v>455.796357</v>
      </c>
      <c r="D33" s="48">
        <f t="shared" si="15"/>
        <v>481.648357</v>
      </c>
      <c r="E33" s="48">
        <f t="shared" si="15"/>
        <v>508.848357</v>
      </c>
      <c r="F33" s="48">
        <f t="shared" si="15"/>
        <v>537.808357</v>
      </c>
      <c r="G33" s="22"/>
      <c r="H33" s="3"/>
    </row>
    <row r="34" ht="16.5" customHeight="1">
      <c r="A34" s="1"/>
      <c r="B34" s="20" t="s">
        <v>10</v>
      </c>
      <c r="C34" s="49"/>
      <c r="D34" s="49">
        <f t="shared" ref="D34:F34" si="16">D33-C33</f>
        <v>25.852</v>
      </c>
      <c r="E34" s="49">
        <f t="shared" si="16"/>
        <v>27.2</v>
      </c>
      <c r="F34" s="49">
        <f t="shared" si="16"/>
        <v>28.96</v>
      </c>
      <c r="G34" s="2"/>
      <c r="H34" s="3"/>
    </row>
    <row r="35" ht="16.5" customHeight="1">
      <c r="A35" s="22"/>
      <c r="B35" s="22"/>
      <c r="C35" s="22"/>
      <c r="D35" s="22"/>
      <c r="E35" s="22"/>
      <c r="F35" s="22"/>
      <c r="G35" s="2"/>
      <c r="H35" s="3"/>
    </row>
    <row r="36" ht="16.5" customHeight="1">
      <c r="A36" s="50" t="s">
        <v>32</v>
      </c>
      <c r="B36" s="11"/>
      <c r="C36" s="11"/>
      <c r="D36" s="11"/>
      <c r="E36" s="11"/>
      <c r="F36" s="11"/>
      <c r="G36" s="2"/>
      <c r="H36" s="3"/>
    </row>
    <row r="37">
      <c r="A37" s="12" t="s">
        <v>33</v>
      </c>
      <c r="B37" s="12"/>
      <c r="C37" s="14">
        <v>0.02</v>
      </c>
      <c r="D37" s="14">
        <v>0.0</v>
      </c>
      <c r="E37" s="14">
        <v>0.0</v>
      </c>
      <c r="F37" s="15">
        <v>0.0</v>
      </c>
      <c r="G37" s="2"/>
      <c r="H37" s="40" t="s">
        <v>34</v>
      </c>
    </row>
    <row r="38" ht="16.5" customHeight="1">
      <c r="A38" s="45" t="s">
        <v>35</v>
      </c>
      <c r="B38" s="51"/>
      <c r="C38" s="26">
        <f>362.34*(1+C37)</f>
        <v>369.5868</v>
      </c>
      <c r="D38" s="26">
        <f t="shared" ref="D38:F38" si="17">ROUND(C38*(1+D37),1)</f>
        <v>369.6</v>
      </c>
      <c r="E38" s="26">
        <f t="shared" si="17"/>
        <v>369.6</v>
      </c>
      <c r="F38" s="26">
        <f t="shared" si="17"/>
        <v>369.6</v>
      </c>
      <c r="G38" s="2"/>
      <c r="H38" s="3"/>
    </row>
    <row r="39" ht="16.5" customHeight="1">
      <c r="A39" s="52" t="s">
        <v>36</v>
      </c>
      <c r="B39" s="1"/>
      <c r="C39" s="34"/>
      <c r="D39" s="26">
        <f>ROUND(((5100*0.85*(1.5))+(5100*0.15))*D13/1000000,1)</f>
        <v>1.9</v>
      </c>
      <c r="E39" s="26">
        <f t="shared" ref="E39:F39" si="18">ROUND(((5100*0.85*(1.5))+(5100*0.15))*E13/1000000,1)+D39</f>
        <v>3.8</v>
      </c>
      <c r="F39" s="26">
        <f t="shared" si="18"/>
        <v>5.7</v>
      </c>
      <c r="G39" s="2"/>
      <c r="H39" s="3" t="s">
        <v>37</v>
      </c>
    </row>
    <row r="40" ht="16.5" customHeight="1">
      <c r="A40" s="12" t="s">
        <v>38</v>
      </c>
      <c r="B40" s="1"/>
      <c r="C40" s="26">
        <v>39.22</v>
      </c>
      <c r="D40" s="26">
        <f t="shared" ref="D40:F40" si="19">C40</f>
        <v>39.22</v>
      </c>
      <c r="E40" s="26">
        <f t="shared" si="19"/>
        <v>39.22</v>
      </c>
      <c r="F40" s="26">
        <f t="shared" si="19"/>
        <v>39.22</v>
      </c>
      <c r="G40" s="2"/>
      <c r="H40" s="3"/>
    </row>
    <row r="41" ht="16.5" customHeight="1">
      <c r="A41" s="12" t="s">
        <v>39</v>
      </c>
      <c r="B41" s="1"/>
      <c r="C41" s="13"/>
      <c r="D41" s="26">
        <f>(ROUND(D23*C28/3,1))</f>
        <v>3.9</v>
      </c>
      <c r="E41" s="26">
        <f t="shared" ref="E41:F41" si="20">(ROUND(E23*D28/3,1))+D41</f>
        <v>8.1</v>
      </c>
      <c r="F41" s="26">
        <f t="shared" si="20"/>
        <v>12.6</v>
      </c>
      <c r="G41" s="2"/>
      <c r="H41" s="3"/>
    </row>
    <row r="42" ht="16.5" customHeight="1">
      <c r="A42" s="12" t="s">
        <v>40</v>
      </c>
      <c r="B42" s="1"/>
      <c r="C42" s="13"/>
      <c r="D42" s="26"/>
      <c r="E42" s="26"/>
      <c r="F42" s="26"/>
      <c r="G42" s="2"/>
      <c r="H42" s="3"/>
    </row>
    <row r="43" ht="16.5" customHeight="1">
      <c r="A43" s="41"/>
      <c r="B43" s="42" t="s">
        <v>41</v>
      </c>
      <c r="C43" s="53">
        <v>0.0</v>
      </c>
      <c r="D43" s="53">
        <v>0.0</v>
      </c>
      <c r="E43" s="53">
        <v>0.0</v>
      </c>
      <c r="F43" s="53">
        <v>0.0</v>
      </c>
      <c r="G43" s="2"/>
      <c r="H43" s="3"/>
    </row>
    <row r="44" ht="16.5" customHeight="1">
      <c r="A44" s="41"/>
      <c r="B44" s="42" t="s">
        <v>42</v>
      </c>
      <c r="C44" s="43">
        <v>0.0</v>
      </c>
      <c r="D44" s="43">
        <v>0.0</v>
      </c>
      <c r="E44" s="43">
        <v>0.0</v>
      </c>
      <c r="F44" s="43">
        <v>0.0</v>
      </c>
      <c r="G44" s="2"/>
      <c r="H44" s="3"/>
    </row>
    <row r="45" ht="16.5" customHeight="1">
      <c r="A45" s="45" t="s">
        <v>43</v>
      </c>
      <c r="B45" s="46"/>
      <c r="C45" s="47">
        <v>61.64000000000004</v>
      </c>
      <c r="D45" s="47">
        <f t="shared" ref="D45:F45" si="21">C45</f>
        <v>61.64</v>
      </c>
      <c r="E45" s="47">
        <f t="shared" si="21"/>
        <v>61.64</v>
      </c>
      <c r="F45" s="47">
        <f t="shared" si="21"/>
        <v>61.64</v>
      </c>
      <c r="G45" s="2"/>
      <c r="H45" s="3" t="s">
        <v>44</v>
      </c>
    </row>
    <row r="46" ht="16.5" customHeight="1">
      <c r="A46" s="18" t="s">
        <v>45</v>
      </c>
      <c r="B46" s="18"/>
      <c r="C46" s="48">
        <f t="shared" ref="C46:F46" si="22">SUM(C38:C45)</f>
        <v>470.4468</v>
      </c>
      <c r="D46" s="48">
        <f t="shared" si="22"/>
        <v>476.26</v>
      </c>
      <c r="E46" s="48">
        <f t="shared" si="22"/>
        <v>482.36</v>
      </c>
      <c r="F46" s="48">
        <f t="shared" si="22"/>
        <v>488.76</v>
      </c>
      <c r="G46" s="22"/>
      <c r="H46" s="3"/>
    </row>
    <row r="47" ht="16.5" customHeight="1">
      <c r="A47" s="1"/>
      <c r="B47" s="20" t="s">
        <v>10</v>
      </c>
      <c r="C47" s="49"/>
      <c r="D47" s="49">
        <f t="shared" ref="D47:F47" si="23">D46-C46</f>
        <v>5.8132</v>
      </c>
      <c r="E47" s="49">
        <f t="shared" si="23"/>
        <v>6.1</v>
      </c>
      <c r="F47" s="49">
        <f t="shared" si="23"/>
        <v>6.4</v>
      </c>
      <c r="G47" s="2"/>
      <c r="H47" s="3"/>
    </row>
    <row r="48" ht="16.5" customHeight="1">
      <c r="A48" s="1"/>
      <c r="B48" s="20"/>
      <c r="C48" s="49"/>
      <c r="D48" s="49"/>
      <c r="E48" s="49"/>
      <c r="F48" s="49"/>
      <c r="G48" s="2"/>
      <c r="H48" s="3"/>
    </row>
    <row r="49" ht="16.5" customHeight="1">
      <c r="A49" s="54" t="s">
        <v>46</v>
      </c>
      <c r="B49" s="55"/>
      <c r="C49" s="56">
        <f t="shared" ref="C49:F49" si="24">C33-C46</f>
        <v>-14.650443</v>
      </c>
      <c r="D49" s="56">
        <f t="shared" si="24"/>
        <v>5.388357</v>
      </c>
      <c r="E49" s="56">
        <f t="shared" si="24"/>
        <v>26.488357</v>
      </c>
      <c r="F49" s="56">
        <f t="shared" si="24"/>
        <v>49.048357</v>
      </c>
      <c r="G49" s="2"/>
      <c r="H49" s="3"/>
    </row>
    <row r="50" ht="16.5" customHeight="1">
      <c r="A50" s="1"/>
      <c r="B50" s="20" t="s">
        <v>10</v>
      </c>
      <c r="C50" s="49"/>
      <c r="D50" s="49">
        <f t="shared" ref="D50:F50" si="25">D49-C49</f>
        <v>20.0388</v>
      </c>
      <c r="E50" s="49">
        <f t="shared" si="25"/>
        <v>21.1</v>
      </c>
      <c r="F50" s="49">
        <f t="shared" si="25"/>
        <v>22.56</v>
      </c>
      <c r="G50" s="2"/>
      <c r="H50" s="3"/>
    </row>
    <row r="51" ht="16.5" customHeight="1">
      <c r="A51" s="1"/>
      <c r="B51" s="1"/>
      <c r="C51" s="1"/>
      <c r="D51" s="1"/>
      <c r="E51" s="1"/>
      <c r="F51" s="1"/>
      <c r="G51" s="2"/>
      <c r="H51" s="3"/>
    </row>
  </sheetData>
  <mergeCells count="1">
    <mergeCell ref="A4:F4"/>
  </mergeCells>
  <dataValidations>
    <dataValidation type="list" allowBlank="1" showInputMessage="1" showErrorMessage="1" prompt="Select Value - Select value from drop-down." sqref="C37:F37">
      <formula1>Inputs!$G$7:$G$19</formula1>
    </dataValidation>
    <dataValidation type="list" allowBlank="1" showInputMessage="1" showErrorMessage="1" prompt="Select Value - Select value from drop-down." sqref="D23:F23">
      <formula1>Inputs!$E$7:$E$8</formula1>
    </dataValidation>
    <dataValidation type="list" allowBlank="1" showInputMessage="1" showErrorMessage="1" prompt="Select Value - Select value from drop-down." sqref="D10:F10">
      <formula1>Inputs!$C$7:$C$16</formula1>
    </dataValidation>
    <dataValidation type="list" allowBlank="1" showInputMessage="1" showErrorMessage="1" prompt="Select Value - Select value from drop-down." sqref="D8:F8">
      <formula1>Inputs!$A$7:$A$16</formula1>
    </dataValidation>
  </dataValidations>
  <printOptions/>
  <pageMargins bottom="0.5" footer="0.0" header="0.0" left="0.75" right="0.7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29"/>
    <col customWidth="1" min="2" max="2" width="2.86"/>
    <col customWidth="1" min="3" max="3" width="22.29"/>
    <col customWidth="1" min="4" max="4" width="2.86"/>
    <col customWidth="1" min="5" max="5" width="22.29"/>
    <col customWidth="1" min="6" max="6" width="2.86"/>
    <col customWidth="1" min="7" max="7" width="22.29"/>
  </cols>
  <sheetData>
    <row r="1" ht="15.0" customHeight="1">
      <c r="A1" s="1"/>
      <c r="B1" s="1"/>
      <c r="C1" s="1"/>
      <c r="D1" s="1"/>
      <c r="E1" s="1"/>
      <c r="F1" s="1"/>
      <c r="G1" s="1"/>
    </row>
    <row r="2" ht="15.0" customHeight="1">
      <c r="A2" s="1"/>
      <c r="B2" s="1"/>
      <c r="C2" s="1"/>
      <c r="D2" s="1"/>
      <c r="E2" s="1"/>
      <c r="F2" s="1"/>
      <c r="G2" s="1"/>
    </row>
    <row r="3" ht="15.0" customHeight="1">
      <c r="A3" s="4"/>
      <c r="B3" s="4"/>
      <c r="C3" s="4"/>
      <c r="D3" s="4"/>
      <c r="E3" s="4"/>
      <c r="F3" s="4"/>
      <c r="G3" s="4"/>
    </row>
    <row r="4">
      <c r="A4" s="4" t="s">
        <v>47</v>
      </c>
    </row>
    <row r="5" ht="15.0" customHeight="1">
      <c r="A5" s="4"/>
      <c r="B5" s="4"/>
      <c r="C5" s="4"/>
      <c r="D5" s="4"/>
      <c r="E5" s="4"/>
      <c r="F5" s="4"/>
      <c r="G5" s="4"/>
    </row>
    <row r="6" ht="15.0" customHeight="1">
      <c r="A6" s="57" t="s">
        <v>48</v>
      </c>
      <c r="B6" s="57"/>
      <c r="C6" s="57" t="s">
        <v>49</v>
      </c>
      <c r="D6" s="57"/>
      <c r="E6" s="57" t="s">
        <v>19</v>
      </c>
      <c r="F6" s="58"/>
      <c r="G6" s="57" t="s">
        <v>33</v>
      </c>
    </row>
    <row r="7" ht="15.0" customHeight="1">
      <c r="A7" s="59">
        <v>-0.03</v>
      </c>
      <c r="C7" s="59">
        <v>-0.03</v>
      </c>
      <c r="E7" s="59">
        <v>0.0</v>
      </c>
      <c r="G7" s="59">
        <v>0.0</v>
      </c>
    </row>
    <row r="8" ht="15.0" customHeight="1">
      <c r="A8" s="59">
        <v>-0.02</v>
      </c>
      <c r="C8" s="59">
        <v>-0.02</v>
      </c>
      <c r="E8" s="59">
        <v>0.06</v>
      </c>
      <c r="G8" s="59">
        <v>0.01</v>
      </c>
    </row>
    <row r="9" ht="15.0" customHeight="1">
      <c r="A9" s="59">
        <v>-0.01</v>
      </c>
      <c r="C9" s="59">
        <v>-0.01</v>
      </c>
      <c r="E9" s="59"/>
      <c r="G9" s="59">
        <v>0.02</v>
      </c>
    </row>
    <row r="10" ht="15.0" customHeight="1">
      <c r="A10" s="59">
        <v>0.0</v>
      </c>
      <c r="C10" s="59">
        <v>0.0</v>
      </c>
      <c r="E10" s="59"/>
      <c r="G10" s="59">
        <v>0.03</v>
      </c>
    </row>
    <row r="11" ht="15.0" customHeight="1">
      <c r="A11" s="59">
        <v>0.01</v>
      </c>
      <c r="C11" s="59">
        <v>0.01</v>
      </c>
      <c r="E11" s="59"/>
      <c r="G11" s="59">
        <v>0.04</v>
      </c>
    </row>
    <row r="12" ht="15.0" customHeight="1">
      <c r="A12" s="59">
        <v>0.02</v>
      </c>
      <c r="C12" s="59">
        <v>0.02</v>
      </c>
      <c r="E12" s="59"/>
      <c r="G12" s="59">
        <v>0.05</v>
      </c>
    </row>
    <row r="13" ht="15.0" customHeight="1">
      <c r="A13" s="59">
        <v>0.03</v>
      </c>
      <c r="C13" s="59">
        <v>0.03</v>
      </c>
      <c r="E13" s="59"/>
      <c r="G13" s="59">
        <v>0.06</v>
      </c>
    </row>
    <row r="14" ht="15.0" customHeight="1">
      <c r="A14" s="59">
        <v>0.04</v>
      </c>
      <c r="C14" s="59">
        <v>0.04</v>
      </c>
      <c r="E14" s="59"/>
      <c r="G14" s="59">
        <v>0.07</v>
      </c>
    </row>
    <row r="15" ht="15.0" customHeight="1">
      <c r="A15" s="59">
        <v>0.05</v>
      </c>
      <c r="C15" s="59">
        <v>0.05</v>
      </c>
      <c r="E15" s="59"/>
      <c r="G15" s="59">
        <v>0.08</v>
      </c>
    </row>
    <row r="16" ht="15.0" customHeight="1">
      <c r="A16" s="59">
        <v>0.06</v>
      </c>
      <c r="C16" s="59">
        <v>0.06</v>
      </c>
      <c r="E16" s="60"/>
      <c r="G16" s="59">
        <v>0.09</v>
      </c>
    </row>
    <row r="17">
      <c r="A17" s="60"/>
      <c r="C17" s="60"/>
      <c r="E17" s="60"/>
      <c r="G17" s="59">
        <v>0.1</v>
      </c>
    </row>
    <row r="18" ht="15.0" customHeight="1">
      <c r="G18" s="59">
        <v>0.11</v>
      </c>
    </row>
    <row r="19" ht="15.0" customHeight="1">
      <c r="G19" s="59">
        <v>0.12</v>
      </c>
    </row>
  </sheetData>
  <mergeCells count="1">
    <mergeCell ref="A4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86"/>
    <col customWidth="1" min="2" max="5" width="12.71"/>
    <col customWidth="1" min="6" max="6" width="8.71"/>
  </cols>
  <sheetData>
    <row r="1">
      <c r="A1" s="1"/>
      <c r="B1" s="1"/>
      <c r="C1" s="1"/>
      <c r="D1" s="1"/>
      <c r="E1" s="1"/>
    </row>
    <row r="2">
      <c r="A2" s="1"/>
      <c r="B2" s="1"/>
      <c r="C2" s="1"/>
      <c r="D2" s="1"/>
      <c r="E2" s="1"/>
    </row>
    <row r="3">
      <c r="A3" s="4"/>
      <c r="B3" s="4"/>
      <c r="C3" s="4"/>
      <c r="D3" s="4"/>
      <c r="E3" s="4"/>
      <c r="F3" s="4"/>
    </row>
    <row r="4">
      <c r="A4" s="4" t="s">
        <v>50</v>
      </c>
    </row>
    <row r="5">
      <c r="A5" s="4"/>
      <c r="B5" s="4"/>
      <c r="C5" s="4"/>
      <c r="D5" s="4"/>
      <c r="E5" s="4"/>
    </row>
    <row r="6">
      <c r="A6" s="45"/>
      <c r="B6" s="8" t="s">
        <v>1</v>
      </c>
      <c r="C6" s="8" t="s">
        <v>2</v>
      </c>
      <c r="D6" s="8" t="s">
        <v>3</v>
      </c>
      <c r="E6" s="8" t="s">
        <v>4</v>
      </c>
      <c r="F6" s="45"/>
    </row>
    <row r="7">
      <c r="A7" s="59"/>
      <c r="B7" s="59"/>
      <c r="D7" s="59"/>
    </row>
    <row r="8">
      <c r="A8" s="9" t="s">
        <v>51</v>
      </c>
      <c r="B8" s="11"/>
      <c r="C8" s="11"/>
      <c r="D8" s="11"/>
      <c r="E8" s="61"/>
    </row>
    <row r="9">
      <c r="A9" s="62" t="s">
        <v>52</v>
      </c>
      <c r="B9" s="63"/>
      <c r="C9" s="32">
        <v>0.03</v>
      </c>
      <c r="D9" s="32">
        <v>0.03</v>
      </c>
      <c r="E9" s="32">
        <v>0.03</v>
      </c>
      <c r="F9" s="45"/>
    </row>
    <row r="10">
      <c r="A10" s="45" t="s">
        <v>53</v>
      </c>
      <c r="B10" s="64">
        <v>14749.0</v>
      </c>
      <c r="C10" s="64">
        <f t="shared" ref="C10:E10" si="1">ROUND(B10*(1+C9),0)</f>
        <v>15191</v>
      </c>
      <c r="D10" s="64">
        <f t="shared" si="1"/>
        <v>15647</v>
      </c>
      <c r="E10" s="64">
        <f t="shared" si="1"/>
        <v>16116</v>
      </c>
      <c r="F10" s="45"/>
    </row>
    <row r="11">
      <c r="A11" s="52" t="s">
        <v>19</v>
      </c>
      <c r="B11" s="64"/>
      <c r="C11" s="65">
        <f>Tool!D23</f>
        <v>0.06</v>
      </c>
      <c r="D11" s="65">
        <f>Tool!E23</f>
        <v>0.06</v>
      </c>
      <c r="E11" s="65">
        <f>Tool!F23</f>
        <v>0.06</v>
      </c>
      <c r="F11" s="45"/>
    </row>
    <row r="12">
      <c r="A12" s="66" t="s">
        <v>54</v>
      </c>
      <c r="B12" s="67">
        <v>4679.0</v>
      </c>
      <c r="C12" s="68">
        <f t="shared" ref="C12:E12" si="2">B12*(1+C11)</f>
        <v>4959.74</v>
      </c>
      <c r="D12" s="68">
        <f t="shared" si="2"/>
        <v>5257.3244</v>
      </c>
      <c r="E12" s="68">
        <f t="shared" si="2"/>
        <v>5572.763864</v>
      </c>
      <c r="F12" s="45"/>
    </row>
    <row r="13">
      <c r="A13" s="69" t="s">
        <v>55</v>
      </c>
      <c r="B13" s="70">
        <f t="shared" ref="B13:E13" si="3">B10-B12</f>
        <v>10070</v>
      </c>
      <c r="C13" s="70">
        <f t="shared" si="3"/>
        <v>10231.26</v>
      </c>
      <c r="D13" s="70">
        <f t="shared" si="3"/>
        <v>10389.6756</v>
      </c>
      <c r="E13" s="70">
        <f t="shared" si="3"/>
        <v>10543.23614</v>
      </c>
      <c r="F13" s="45"/>
    </row>
    <row r="14">
      <c r="A14" s="45"/>
      <c r="B14" s="71"/>
      <c r="C14" s="72"/>
      <c r="D14" s="72"/>
      <c r="E14" s="72"/>
      <c r="F14" s="45"/>
    </row>
    <row r="15">
      <c r="A15" s="45" t="s">
        <v>56</v>
      </c>
      <c r="B15" s="16">
        <v>3434.0</v>
      </c>
      <c r="C15" s="16">
        <v>3836.0</v>
      </c>
      <c r="D15" s="16">
        <v>3875.0</v>
      </c>
      <c r="E15" s="16">
        <v>3913.0</v>
      </c>
      <c r="F15" s="45"/>
    </row>
    <row r="16">
      <c r="A16" s="45" t="s">
        <v>57</v>
      </c>
      <c r="B16" s="73">
        <f t="shared" ref="B16:E16" si="4">B15*B12/1000000</f>
        <v>16.067686</v>
      </c>
      <c r="C16" s="73">
        <f t="shared" si="4"/>
        <v>19.02556264</v>
      </c>
      <c r="D16" s="73">
        <f t="shared" si="4"/>
        <v>20.37213205</v>
      </c>
      <c r="E16" s="73">
        <f t="shared" si="4"/>
        <v>21.806225</v>
      </c>
      <c r="F16" s="45"/>
    </row>
    <row r="17">
      <c r="A17" s="45" t="s">
        <v>58</v>
      </c>
      <c r="B17" s="73">
        <f t="shared" ref="B17:E17" si="5">B15*B13/1000000</f>
        <v>34.58038</v>
      </c>
      <c r="C17" s="73">
        <f t="shared" si="5"/>
        <v>39.24711336</v>
      </c>
      <c r="D17" s="73">
        <f t="shared" si="5"/>
        <v>40.25999295</v>
      </c>
      <c r="E17" s="73">
        <f t="shared" si="5"/>
        <v>41.255683</v>
      </c>
      <c r="F17" s="45"/>
    </row>
    <row r="18">
      <c r="A18" s="74" t="s">
        <v>59</v>
      </c>
      <c r="B18" s="74">
        <f t="shared" ref="B18:E18" si="6">B15*B10/1000000</f>
        <v>50.648066</v>
      </c>
      <c r="C18" s="74">
        <f t="shared" si="6"/>
        <v>58.272676</v>
      </c>
      <c r="D18" s="74">
        <f t="shared" si="6"/>
        <v>60.632125</v>
      </c>
      <c r="E18" s="74">
        <f t="shared" si="6"/>
        <v>63.061908</v>
      </c>
      <c r="F18" s="45"/>
    </row>
    <row r="19">
      <c r="A19" s="45"/>
      <c r="B19" s="71"/>
      <c r="C19" s="72"/>
      <c r="D19" s="72"/>
      <c r="E19" s="72"/>
      <c r="F19" s="45"/>
    </row>
    <row r="20">
      <c r="A20" s="9" t="s">
        <v>60</v>
      </c>
      <c r="B20" s="11"/>
      <c r="C20" s="11"/>
      <c r="D20" s="11"/>
      <c r="E20" s="61"/>
    </row>
    <row r="21">
      <c r="A21" s="45" t="s">
        <v>53</v>
      </c>
      <c r="B21" s="64">
        <f t="shared" ref="B21:E21" si="7">B10</f>
        <v>14749</v>
      </c>
      <c r="C21" s="64">
        <f t="shared" si="7"/>
        <v>15191</v>
      </c>
      <c r="D21" s="64">
        <f t="shared" si="7"/>
        <v>15647</v>
      </c>
      <c r="E21" s="64">
        <f t="shared" si="7"/>
        <v>16116</v>
      </c>
      <c r="F21" s="45"/>
    </row>
    <row r="22" ht="15.75" customHeight="1">
      <c r="A22" s="66" t="s">
        <v>61</v>
      </c>
      <c r="B22" s="67">
        <v>6619.0</v>
      </c>
      <c r="C22" s="68">
        <v>6600.0</v>
      </c>
      <c r="D22" s="68">
        <f t="shared" ref="D22:E22" si="8">C22*(1+D11)</f>
        <v>6996</v>
      </c>
      <c r="E22" s="68">
        <f t="shared" si="8"/>
        <v>7415.76</v>
      </c>
      <c r="F22" s="12"/>
    </row>
    <row r="23" ht="15.75" customHeight="1">
      <c r="A23" s="69" t="s">
        <v>62</v>
      </c>
      <c r="B23" s="70">
        <f t="shared" ref="B23:E23" si="9">B21-B22</f>
        <v>8130</v>
      </c>
      <c r="C23" s="70">
        <f t="shared" si="9"/>
        <v>8591</v>
      </c>
      <c r="D23" s="70">
        <f t="shared" si="9"/>
        <v>8651</v>
      </c>
      <c r="E23" s="70">
        <f t="shared" si="9"/>
        <v>8700.24</v>
      </c>
      <c r="F23" s="12"/>
    </row>
    <row r="24" ht="15.75" customHeight="1">
      <c r="A24" s="22"/>
      <c r="B24" s="75"/>
      <c r="C24" s="75"/>
      <c r="D24" s="76"/>
      <c r="E24" s="76"/>
      <c r="F24" s="12"/>
    </row>
    <row r="25" ht="15.75" customHeight="1">
      <c r="A25" s="9" t="s">
        <v>63</v>
      </c>
      <c r="B25" s="11"/>
      <c r="C25" s="11"/>
      <c r="D25" s="11"/>
      <c r="E25" s="61"/>
    </row>
    <row r="26" ht="15.75" customHeight="1">
      <c r="A26" s="12" t="s">
        <v>64</v>
      </c>
      <c r="B26" s="72">
        <v>0.05</v>
      </c>
      <c r="C26" s="72">
        <v>0.05</v>
      </c>
      <c r="D26" s="72">
        <v>0.05</v>
      </c>
      <c r="E26" s="72">
        <v>0.05</v>
      </c>
    </row>
    <row r="27" ht="15.75" customHeight="1">
      <c r="A27" s="77" t="s">
        <v>65</v>
      </c>
      <c r="B27" s="78">
        <f>330540000/1000000</f>
        <v>330.54</v>
      </c>
      <c r="C27" s="78">
        <f t="shared" ref="C27:E27" si="10">ROUND(B28*C26,1)</f>
        <v>249.4</v>
      </c>
      <c r="D27" s="78">
        <f t="shared" si="10"/>
        <v>261.9</v>
      </c>
      <c r="E27" s="78">
        <f t="shared" si="10"/>
        <v>275</v>
      </c>
    </row>
    <row r="28" ht="15.75" customHeight="1">
      <c r="A28" s="45" t="s">
        <v>66</v>
      </c>
      <c r="B28" s="73">
        <f>4988674000/1000000</f>
        <v>4988.674</v>
      </c>
      <c r="C28" s="73">
        <f t="shared" ref="C28:E28" si="11">B28+C27</f>
        <v>5238.074</v>
      </c>
      <c r="D28" s="73">
        <f t="shared" si="11"/>
        <v>5499.974</v>
      </c>
      <c r="E28" s="73">
        <f t="shared" si="11"/>
        <v>5774.974</v>
      </c>
      <c r="F28" s="45"/>
    </row>
    <row r="29" ht="15.75" customHeight="1">
      <c r="A29" s="79"/>
      <c r="B29" s="79"/>
      <c r="C29" s="12"/>
      <c r="D29" s="79"/>
      <c r="E29" s="12"/>
      <c r="F29" s="64"/>
    </row>
    <row r="30" ht="15.75" customHeight="1">
      <c r="A30" s="74" t="s">
        <v>67</v>
      </c>
      <c r="B30" s="74"/>
      <c r="C30" s="74">
        <f t="shared" ref="C30:E30" si="12">C27-C17</f>
        <v>210.1528866</v>
      </c>
      <c r="D30" s="74">
        <f t="shared" si="12"/>
        <v>221.6400071</v>
      </c>
      <c r="E30" s="74">
        <f t="shared" si="12"/>
        <v>233.744317</v>
      </c>
      <c r="F30" s="76"/>
    </row>
    <row r="31" ht="15.75" customHeight="1">
      <c r="A31" s="80" t="s">
        <v>68</v>
      </c>
      <c r="B31" s="81"/>
      <c r="C31" s="82">
        <f t="shared" ref="C31:E31" si="13">C30/B28</f>
        <v>0.04212600115</v>
      </c>
      <c r="D31" s="82">
        <f t="shared" si="13"/>
        <v>0.04231326382</v>
      </c>
      <c r="E31" s="82">
        <f t="shared" si="13"/>
        <v>0.04249916763</v>
      </c>
      <c r="F31" s="45"/>
    </row>
    <row r="32" ht="15.75" customHeight="1">
      <c r="A32" s="45"/>
      <c r="B32" s="45"/>
      <c r="C32" s="45"/>
      <c r="D32" s="45"/>
      <c r="E32" s="45"/>
      <c r="F32" s="45"/>
    </row>
  </sheetData>
  <mergeCells count="1">
    <mergeCell ref="A4:F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2023-09-09T00:29:10Z</dcterms:created>
  <dc:creator>"011510863"</dc:creator>
</cp:coreProperties>
</file>